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Assumptions" sheetId="2" state="visible" r:id="rId4"/>
    <sheet name="LBO Model" sheetId="3" state="visible" r:id="rId5"/>
    <sheet name="Return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<sst xmlns="http://schemas.openxmlformats.org/spreadsheetml/2006/main" count="129" uniqueCount="125">
  <si>
    <t xml:space="preserve">THE BROOKSIDE BRIEF</t>
  </si>
  <si>
    <t xml:space="preserve">Template 03 · Leveraged Buyout</t>
  </si>
  <si>
    <t xml:space="preserve">A five-year LBO with a cash sweep and an IRR sensitivity. Published free by The Brookside Brief.</t>
  </si>
  <si>
    <t xml:space="preserve">HOW TO USE THIS TEMPLATE</t>
  </si>
  <si>
    <t xml:space="preserve">Step 1</t>
  </si>
  <si>
    <t xml:space="preserve">Set the entry price and leverage on the Assumptions sheet. Entry multiple and total turns of debt are the two numbers that decide most of the outcome.</t>
  </si>
  <si>
    <t xml:space="preserve">Step 2</t>
  </si>
  <si>
    <t xml:space="preserve">Check the 'Sources less uses' line on the LBO Model sheet reads zero. If it doesn't, an input is missing.</t>
  </si>
  <si>
    <t xml:space="preserve">Step 3</t>
  </si>
  <si>
    <t xml:space="preserve">Build the operating plan honestly. A model where margins expand every year without a stated reason is a wish, not a plan.</t>
  </si>
  <si>
    <t xml:space="preserve">Step 4</t>
  </si>
  <si>
    <t xml:space="preserve">Look at the Returns sheet with entry multiple equal to exit multiple first. That is the return from paying down debt and growing the business — the part the sponsor controls.</t>
  </si>
  <si>
    <t xml:space="preserve">Step 5</t>
  </si>
  <si>
    <t xml:space="preserve">Then use the grid to see how much of the return depends on selling at a higher multiple than you paid. The more it does, the more the deal is a market call.</t>
  </si>
  <si>
    <t xml:space="preserve">CELL COLOUR LEGEND</t>
  </si>
  <si>
    <t xml:space="preserve">Blue on yellow</t>
  </si>
  <si>
    <t xml:space="preserve">An input. This is where you type. Every one of these is an assumption you own.</t>
  </si>
  <si>
    <t xml:space="preserve">Black</t>
  </si>
  <si>
    <t xml:space="preserve">A formula. Leave it alone — it recalculates from the inputs.</t>
  </si>
  <si>
    <t xml:space="preserve">Green</t>
  </si>
  <si>
    <t xml:space="preserve">A link pulling a value from another sheet in this workbook.</t>
  </si>
  <si>
    <t xml:space="preserve">Red</t>
  </si>
  <si>
    <t xml:space="preserve">A link to an outside file. There are none in this template by design.</t>
  </si>
  <si>
    <t xml:space="preserve">WHICH CELLS TO EDIT</t>
  </si>
  <si>
    <t xml:space="preserve">Assumptions</t>
  </si>
  <si>
    <t xml:space="preserve">Everything — entry, capital structure, operating plan and exit.</t>
  </si>
  <si>
    <t xml:space="preserve">LBO Model</t>
  </si>
  <si>
    <t xml:space="preserve">Nothing. Sources &amp; uses, the operating plan and the debt schedule are all formulas.</t>
  </si>
  <si>
    <t xml:space="preserve">Returns</t>
  </si>
  <si>
    <t xml:space="preserve">Only the axes of the sensitivity grid: exit years across the top, exit multiples down the side.</t>
  </si>
  <si>
    <t xml:space="preserve">TERMS OF USE</t>
  </si>
  <si>
    <t xml:space="preserve">This template is published free by The Brookside Brief for educational use. It ships pre-filled with a worked example so you can see the expected format — overwrite every input with your own before relying on any output. A model is a way of organising an argument, not a source of truth: the numbers it prints are only ever as good as the assumptions you typed above them. Nothing here is investment advice. Method follows the LBO framework in The Classroom → The Models → Model 03.</t>
  </si>
  <si>
    <t xml:space="preserve">Leveraged Buyout — Assumptions</t>
  </si>
  <si>
    <t xml:space="preserve">Every input lives here. The model and the returns follow from this sheet alone.</t>
  </si>
  <si>
    <t xml:space="preserve">ENTRY</t>
  </si>
  <si>
    <t xml:space="preserve">LTM EBITDA at entry ($mm)</t>
  </si>
  <si>
    <t xml:space="preserve">The number the purchase price is a multiple of.</t>
  </si>
  <si>
    <t xml:space="preserve">Entry multiple (x EBITDA)</t>
  </si>
  <si>
    <t xml:space="preserve">What the sponsor pays. Every turn here is real money.</t>
  </si>
  <si>
    <t xml:space="preserve">Transaction fees (% of TEV)</t>
  </si>
  <si>
    <t xml:space="preserve">Advisory, financing and legal fees — funded at close.</t>
  </si>
  <si>
    <t xml:space="preserve">CAPITAL STRUCTURE</t>
  </si>
  <si>
    <t xml:space="preserve">Term loan (x EBITDA)</t>
  </si>
  <si>
    <t xml:space="preserve">Senior debt. Amortises through the cash sweep.</t>
  </si>
  <si>
    <t xml:space="preserve">Term loan interest rate</t>
  </si>
  <si>
    <t xml:space="preserve">Floating in reality; a fixed rate is fine for a first pass.</t>
  </si>
  <si>
    <t xml:space="preserve">Subordinated debt (x EBITDA)</t>
  </si>
  <si>
    <t xml:space="preserve">Junior debt. Bullet — no amortisation until exit.</t>
  </si>
  <si>
    <t xml:space="preserve">Subordinated interest rate</t>
  </si>
  <si>
    <t xml:space="preserve">Priced above the senior tranche for taking the second loss.</t>
  </si>
  <si>
    <t xml:space="preserve">Cash sweep (% of free cash flow)</t>
  </si>
  <si>
    <t xml:space="preserve">Share of surplus cash forced into repaying the term loan.</t>
  </si>
  <si>
    <t xml:space="preserve">OPERATING PLAN</t>
  </si>
  <si>
    <t xml:space="preserve">Revenue at entry ($mm)</t>
  </si>
  <si>
    <t xml:space="preserve">Last full year of revenue.</t>
  </si>
  <si>
    <t xml:space="preserve">Revenue growth (annual)</t>
  </si>
  <si>
    <t xml:space="preserve">Held flat across the hold period for simplicity.</t>
  </si>
  <si>
    <t xml:space="preserve">EBITDA margin</t>
  </si>
  <si>
    <t xml:space="preserve">Entry margin. Raise it if the thesis includes margin expansion.</t>
  </si>
  <si>
    <t xml:space="preserve">D&amp;A (% of revenue)</t>
  </si>
  <si>
    <t xml:space="preserve">Non-cash; added back after tax.</t>
  </si>
  <si>
    <t xml:space="preserve">Capex (% of revenue)</t>
  </si>
  <si>
    <t xml:space="preserve">Real cash out.</t>
  </si>
  <si>
    <t xml:space="preserve">Change in NWC (% of Δrevenue)</t>
  </si>
  <si>
    <t xml:space="preserve">Working capital absorbed by growth.</t>
  </si>
  <si>
    <t xml:space="preserve">Tax rate</t>
  </si>
  <si>
    <t xml:space="preserve">Applied to EBT, so the interest shield is captured.</t>
  </si>
  <si>
    <t xml:space="preserve">EXIT</t>
  </si>
  <si>
    <t xml:space="preserve">Exit multiple (x EBITDA)</t>
  </si>
  <si>
    <t xml:space="preserve">Same as entry is the honest default. Assuming expansion is assuming luck.</t>
  </si>
  <si>
    <t xml:space="preserve">Exit year</t>
  </si>
  <si>
    <t xml:space="preserve">Year of the hold period in which the sponsor sells (1-5).</t>
  </si>
  <si>
    <t xml:space="preserve">Sources &amp; Uses, Operating Plan, Debt Schedule</t>
  </si>
  <si>
    <t xml:space="preserve">All formulas. Change the story on the Assumptions sheet.</t>
  </si>
  <si>
    <t xml:space="preserve">SOURCES &amp; USES</t>
  </si>
  <si>
    <t xml:space="preserve">Purchase enterprise value</t>
  </si>
  <si>
    <t xml:space="preserve">Transaction fees</t>
  </si>
  <si>
    <t xml:space="preserve">Total uses</t>
  </si>
  <si>
    <t xml:space="preserve">Term loan</t>
  </si>
  <si>
    <t xml:space="preserve">Subordinated debt</t>
  </si>
  <si>
    <t xml:space="preserve">Sponsor equity</t>
  </si>
  <si>
    <t xml:space="preserve">Total sources</t>
  </si>
  <si>
    <t xml:space="preserve">Check — sources less uses</t>
  </si>
  <si>
    <t xml:space="preserve">Must be zero.</t>
  </si>
  <si>
    <t xml:space="preserve">($mm)</t>
  </si>
  <si>
    <t xml:space="preserve">Year 1</t>
  </si>
  <si>
    <t xml:space="preserve">Year 2</t>
  </si>
  <si>
    <t xml:space="preserve">Year 3</t>
  </si>
  <si>
    <t xml:space="preserve">Year 4</t>
  </si>
  <si>
    <t xml:space="preserve">Year 5</t>
  </si>
  <si>
    <t xml:space="preserve">Revenue</t>
  </si>
  <si>
    <t xml:space="preserve">EBITDA</t>
  </si>
  <si>
    <t xml:space="preserve">  Less: D&amp;A</t>
  </si>
  <si>
    <t xml:space="preserve">EBIT</t>
  </si>
  <si>
    <t xml:space="preserve">DEBT SCHEDULE</t>
  </si>
  <si>
    <t xml:space="preserve">Term loan — beginning</t>
  </si>
  <si>
    <t xml:space="preserve">Subordinated — beginning (bullet)</t>
  </si>
  <si>
    <t xml:space="preserve">  Interest expense</t>
  </si>
  <si>
    <t xml:space="preserve">EBT</t>
  </si>
  <si>
    <t xml:space="preserve">  Less: cash taxes</t>
  </si>
  <si>
    <t xml:space="preserve">Net income</t>
  </si>
  <si>
    <t xml:space="preserve">FREE CASH FLOW &amp; PAYDOWN</t>
  </si>
  <si>
    <t xml:space="preserve">  Plus: D&amp;A</t>
  </si>
  <si>
    <t xml:space="preserve">  Less: capex</t>
  </si>
  <si>
    <t xml:space="preserve">  Less: increase in NWC</t>
  </si>
  <si>
    <t xml:space="preserve">Free cash flow</t>
  </si>
  <si>
    <t xml:space="preserve">  Term loan repayment (sweep)</t>
  </si>
  <si>
    <t xml:space="preserve">Term loan — ending</t>
  </si>
  <si>
    <t xml:space="preserve">Net debt at year end</t>
  </si>
  <si>
    <t xml:space="preserve">Returns — MOIC &amp; IRR</t>
  </si>
  <si>
    <t xml:space="preserve">What the sponsor makes, and what has to be true for it.</t>
  </si>
  <si>
    <t xml:space="preserve">EXIT ECONOMICS</t>
  </si>
  <si>
    <t xml:space="preserve">Exit-year EBITDA</t>
  </si>
  <si>
    <t xml:space="preserve">Exit enterprise value</t>
  </si>
  <si>
    <t xml:space="preserve">Less: net debt at exit</t>
  </si>
  <si>
    <t xml:space="preserve">Equity value at exit</t>
  </si>
  <si>
    <t xml:space="preserve">Sponsor equity at entry</t>
  </si>
  <si>
    <t xml:space="preserve">MOIC  (multiple of invested capital)</t>
  </si>
  <si>
    <t xml:space="preserve">IRR</t>
  </si>
  <si>
    <t xml:space="preserve">Annualised return on the sponsor's cheque, assuming no dividends before exit.</t>
  </si>
  <si>
    <t xml:space="preserve">SENSITIVITY — IRR BY EXIT MULTIPLE AND EXIT YEAR</t>
  </si>
  <si>
    <t xml:space="preserve">Exit multiple down the side, exit year across the top. Both axes are editable.</t>
  </si>
  <si>
    <t xml:space="preserve">Exit multiple  ↓</t>
  </si>
  <si>
    <t xml:space="preserve">Read the columns, not the cells. If the return only works at an exit multiple above the entry multiple,</t>
  </si>
  <si>
    <t xml:space="preserve">the deal is a bet on the market re-rating the asset — not on anything the sponsor actually controls.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</si>
</sst>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;&quot;($&quot;#,##0\);\-"/>
    <numFmt numFmtId="166" formatCode="0.0\x;\(0.0&quot;x)&quot;;\-"/>
    <numFmt numFmtId="167" formatCode="0.0%;\(0.0%\);\-"/>
    <numFmt numFmtId="168" formatCode="#,##0;\(#,##0\);\-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C8102E"/>
      <name val="Arial"/>
      <family val="0"/>
      <charset val="1"/>
    </font>
    <font>
      <b val="true"/>
      <sz val="17"/>
      <color rgb="FF111111"/>
      <name val="Georgia"/>
      <family val="0"/>
      <charset val="1"/>
    </font>
    <font>
      <i val="true"/>
      <sz val="10.5"/>
      <color rgb="FF6B6B66"/>
      <name val="Georgia"/>
      <family val="0"/>
      <charset val="1"/>
    </font>
    <font>
      <b val="true"/>
      <sz val="10"/>
      <color rgb="FF111111"/>
      <name val="Arial"/>
      <family val="0"/>
      <charset val="1"/>
    </font>
    <font>
      <i val="true"/>
      <sz val="9"/>
      <color rgb="FF6B6B66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b val="true"/>
      <sz val="10"/>
      <color rgb="FFFF0000"/>
      <name val="Arial"/>
      <family val="0"/>
      <charset val="1"/>
    </font>
    <font>
      <i val="true"/>
      <sz val="10"/>
      <color rgb="FF6B6B66"/>
      <name val="Georgia"/>
      <family val="0"/>
      <charset val="1"/>
    </font>
    <font>
      <sz val="10"/>
      <color rgb="FF111111"/>
      <name val="Arial"/>
      <family val="0"/>
      <charset val="1"/>
    </font>
    <font>
      <b val="true"/>
      <sz val="9"/>
      <color rgb="FF111111"/>
      <name val="Arial"/>
      <family val="0"/>
      <charset val="1"/>
    </font>
    <font>
      <b val="true"/>
      <sz val="12"/>
      <color rgb="FFC8102E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A8"/>
        <bgColor rgb="FFFFFFCC"/>
      </patternFill>
    </fill>
    <fill>
      <patternFill patternType="solid">
        <fgColor rgb="FFFDF3F4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111111"/>
      </bottom>
      <diagonal/>
    </border>
    <border diagonalUp="false" diagonalDown="false">
      <left/>
      <right/>
      <top/>
      <bottom style="thin">
        <color rgb="FFDCDCD6"/>
      </bottom>
      <diagonal/>
    </border>
    <border diagonalUp="false" diagonalDown="false">
      <left style="thin">
        <color rgb="FFDCDCD6"/>
      </left>
      <right style="thin">
        <color rgb="FFDCDCD6"/>
      </right>
      <top style="thin">
        <color rgb="FFDCDCD6"/>
      </top>
      <bottom style="thin">
        <color rgb="FFDCDCD6"/>
      </bottom>
      <diagonal/>
    </border>
    <border diagonalUp="false" diagonalDown="false">
      <left/>
      <right/>
      <top/>
      <bottom style="thin">
        <color rgb="FF111111"/>
      </bottom>
      <diagonal/>
    </border>
    <border diagonalUp="false" diagonalDown="false">
      <left style="thin">
        <color rgb="FFDCDCD6"/>
      </left>
      <right style="thin">
        <color rgb="FFDCDCD6"/>
      </right>
      <top style="medium">
        <color rgb="FF111111"/>
      </top>
      <bottom style="medium">
        <color rgb="FF11111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DF3F4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CDC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A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6"/>
      <rgbColor rgb="FF969696"/>
      <rgbColor rgb="FF003366"/>
      <rgbColor rgb="FF339966"/>
      <rgbColor rgb="FF111111"/>
      <rgbColor rgb="FF333300"/>
      <rgbColor rgb="FFC8102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88"/>
  </cols>
  <sheetData>
    <row r="1" customFormat="false" ht="15" hidden="false" customHeight="false" outlineLevel="0" collapsed="false">
      <c r="A1" s="1" t="s">
        <v>0</v>
      </c>
    </row>
    <row r="2" customFormat="false" ht="20.9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4" customFormat="false" ht="6" hidden="false" customHeight="true" outlineLevel="0" collapsed="false">
      <c r="A4" s="4"/>
      <c r="B4" s="4"/>
      <c r="C4" s="4"/>
      <c r="D4" s="4"/>
      <c r="E4" s="4"/>
      <c r="F4" s="4"/>
      <c r="G4" s="4"/>
      <c r="H4" s="4"/>
    </row>
    <row r="6" customFormat="false" ht="15" hidden="false" customHeight="false" outlineLevel="0" collapsed="false">
      <c r="A6" s="5" t="s">
        <v>3</v>
      </c>
      <c r="B6" s="6"/>
      <c r="C6" s="6"/>
      <c r="D6" s="6"/>
      <c r="E6" s="6"/>
      <c r="F6" s="6"/>
      <c r="G6" s="6"/>
      <c r="H6" s="6"/>
    </row>
    <row r="8" customFormat="false" ht="30" hidden="false" customHeight="true" outlineLevel="0" collapsed="false">
      <c r="B8" s="7" t="s">
        <v>4</v>
      </c>
      <c r="C8" s="8" t="s">
        <v>5</v>
      </c>
    </row>
    <row r="9" customFormat="false" ht="30" hidden="false" customHeight="true" outlineLevel="0" collapsed="false">
      <c r="B9" s="7" t="s">
        <v>6</v>
      </c>
      <c r="C9" s="8" t="s">
        <v>7</v>
      </c>
    </row>
    <row r="10" customFormat="false" ht="30" hidden="false" customHeight="true" outlineLevel="0" collapsed="false">
      <c r="B10" s="7" t="s">
        <v>8</v>
      </c>
      <c r="C10" s="8" t="s">
        <v>9</v>
      </c>
    </row>
    <row r="11" customFormat="false" ht="30" hidden="false" customHeight="true" outlineLevel="0" collapsed="false">
      <c r="B11" s="7" t="s">
        <v>10</v>
      </c>
      <c r="C11" s="8" t="s">
        <v>11</v>
      </c>
    </row>
    <row r="12" customFormat="false" ht="30" hidden="false" customHeight="true" outlineLevel="0" collapsed="false">
      <c r="B12" s="7" t="s">
        <v>12</v>
      </c>
      <c r="C12" s="8" t="s">
        <v>13</v>
      </c>
    </row>
    <row r="14" customFormat="false" ht="15" hidden="false" customHeight="false" outlineLevel="0" collapsed="false">
      <c r="A14" s="5" t="s">
        <v>14</v>
      </c>
      <c r="B14" s="6"/>
      <c r="C14" s="6"/>
      <c r="D14" s="6"/>
      <c r="E14" s="6"/>
      <c r="F14" s="6"/>
      <c r="G14" s="6"/>
      <c r="H14" s="6"/>
    </row>
    <row r="16" customFormat="false" ht="15" hidden="false" customHeight="false" outlineLevel="0" collapsed="false">
      <c r="B16" s="9" t="s">
        <v>15</v>
      </c>
      <c r="C16" s="10" t="s">
        <v>16</v>
      </c>
    </row>
    <row r="17" customFormat="false" ht="15" hidden="false" customHeight="false" outlineLevel="0" collapsed="false">
      <c r="B17" s="7" t="s">
        <v>17</v>
      </c>
      <c r="C17" s="10" t="s">
        <v>18</v>
      </c>
    </row>
    <row r="18" customFormat="false" ht="15" hidden="false" customHeight="false" outlineLevel="0" collapsed="false">
      <c r="B18" s="11" t="s">
        <v>19</v>
      </c>
      <c r="C18" s="10" t="s">
        <v>20</v>
      </c>
    </row>
    <row r="19" customFormat="false" ht="15" hidden="false" customHeight="false" outlineLevel="0" collapsed="false">
      <c r="B19" s="12" t="s">
        <v>21</v>
      </c>
      <c r="C19" s="10" t="s">
        <v>22</v>
      </c>
    </row>
    <row r="21" customFormat="false" ht="15" hidden="false" customHeight="false" outlineLevel="0" collapsed="false">
      <c r="A21" s="5" t="s">
        <v>23</v>
      </c>
      <c r="B21" s="6"/>
      <c r="C21" s="6"/>
      <c r="D21" s="6"/>
      <c r="E21" s="6"/>
      <c r="F21" s="6"/>
      <c r="G21" s="6"/>
      <c r="H21" s="6"/>
    </row>
    <row r="23" customFormat="false" ht="27.75" hidden="false" customHeight="true" outlineLevel="0" collapsed="false">
      <c r="B23" s="7" t="s">
        <v>24</v>
      </c>
      <c r="C23" s="8" t="s">
        <v>25</v>
      </c>
    </row>
    <row r="24" customFormat="false" ht="27.75" hidden="false" customHeight="true" outlineLevel="0" collapsed="false">
      <c r="B24" s="7" t="s">
        <v>26</v>
      </c>
      <c r="C24" s="8" t="s">
        <v>27</v>
      </c>
    </row>
    <row r="25" customFormat="false" ht="27.75" hidden="false" customHeight="true" outlineLevel="0" collapsed="false">
      <c r="B25" s="7" t="s">
        <v>28</v>
      </c>
      <c r="C25" s="8" t="s">
        <v>29</v>
      </c>
    </row>
    <row r="28" customFormat="false" ht="15" hidden="false" customHeight="false" outlineLevel="0" collapsed="false">
      <c r="A28" s="5" t="s">
        <v>30</v>
      </c>
      <c r="B28" s="6"/>
      <c r="C28" s="6"/>
      <c r="D28" s="6"/>
      <c r="E28" s="6"/>
      <c r="F28" s="6"/>
      <c r="G28" s="6"/>
      <c r="H28" s="6"/>
    </row>
    <row r="30" customFormat="false" ht="15" hidden="false" customHeight="true" outlineLevel="0" collapsed="false">
      <c r="B30" s="13" t="s">
        <v>31</v>
      </c>
      <c r="C30" s="13"/>
    </row>
    <row r="31" customFormat="false" ht="15" hidden="false" customHeight="false" outlineLevel="0" collapsed="false">
      <c r="B31" s="13"/>
      <c r="C31" s="13"/>
    </row>
    <row r="32" customFormat="false" ht="15" hidden="false" customHeight="false" outlineLevel="0" collapsed="false">
      <c r="B32" s="13"/>
      <c r="C32" s="13"/>
    </row>
    <row r="33" customFormat="false" ht="15" hidden="false" customHeight="false" outlineLevel="0" collapsed="false">
      <c r="B33" s="13"/>
      <c r="C33" s="13"/>
    </row>
    <row r="34" customFormat="false" ht="15" hidden="false" customHeight="false" outlineLevel="0" collapsed="false">
      <c r="B34" s="13"/>
      <c r="C34" s="13"/>
    </row>
  </sheetData>
  <mergeCells count="1">
    <mergeCell ref="B30:C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4"/>
    <col collapsed="false" customWidth="true" hidden="false" outlineLevel="0" max="6" min="6" style="0" width="62"/>
  </cols>
  <sheetData>
    <row r="1" customFormat="false" ht="15" hidden="false" customHeight="false" outlineLevel="0" collapsed="false">
      <c r="A1" s="1" t="s">
        <v>0</v>
      </c>
    </row>
    <row r="2" customFormat="false" ht="20.9" hidden="false" customHeight="false" outlineLevel="0" collapsed="false">
      <c r="A2" s="2" t="s">
        <v>32</v>
      </c>
    </row>
    <row r="3" customFormat="false" ht="15" hidden="false" customHeight="false" outlineLevel="0" collapsed="false">
      <c r="A3" s="3" t="s">
        <v>33</v>
      </c>
    </row>
    <row r="4" customFormat="false" ht="6" hidden="false" customHeight="true" outlineLevel="0" collapsed="false">
      <c r="A4" s="4"/>
      <c r="B4" s="4"/>
      <c r="C4" s="4"/>
      <c r="D4" s="4"/>
      <c r="E4" s="4"/>
      <c r="F4" s="4"/>
      <c r="G4" s="4"/>
      <c r="H4" s="4"/>
    </row>
    <row r="6" customFormat="false" ht="15" hidden="false" customHeight="false" outlineLevel="0" collapsed="false">
      <c r="A6" s="5" t="s">
        <v>34</v>
      </c>
      <c r="B6" s="6"/>
      <c r="C6" s="6"/>
      <c r="D6" s="6"/>
      <c r="E6" s="6"/>
      <c r="F6" s="6"/>
      <c r="G6" s="6"/>
      <c r="H6" s="6"/>
    </row>
    <row r="7" customFormat="false" ht="15" hidden="false" customHeight="false" outlineLevel="0" collapsed="false">
      <c r="A7" s="14" t="s">
        <v>35</v>
      </c>
      <c r="B7" s="15" t="n">
        <v>100</v>
      </c>
      <c r="F7" s="10" t="s">
        <v>36</v>
      </c>
    </row>
    <row r="8" customFormat="false" ht="15" hidden="false" customHeight="false" outlineLevel="0" collapsed="false">
      <c r="A8" s="14" t="s">
        <v>37</v>
      </c>
      <c r="B8" s="16" t="n">
        <v>9</v>
      </c>
      <c r="F8" s="10" t="s">
        <v>38</v>
      </c>
    </row>
    <row r="9" customFormat="false" ht="15" hidden="false" customHeight="false" outlineLevel="0" collapsed="false">
      <c r="A9" s="14" t="s">
        <v>39</v>
      </c>
      <c r="B9" s="17" t="n">
        <v>0.02</v>
      </c>
      <c r="F9" s="10" t="s">
        <v>40</v>
      </c>
    </row>
    <row r="10" customFormat="false" ht="15" hidden="false" customHeight="false" outlineLevel="0" collapsed="false">
      <c r="A10" s="5" t="s">
        <v>41</v>
      </c>
      <c r="B10" s="6"/>
      <c r="C10" s="6"/>
      <c r="D10" s="6"/>
      <c r="E10" s="6"/>
      <c r="F10" s="6"/>
      <c r="G10" s="6"/>
      <c r="H10" s="6"/>
    </row>
    <row r="11" customFormat="false" ht="15" hidden="false" customHeight="false" outlineLevel="0" collapsed="false">
      <c r="A11" s="14" t="s">
        <v>42</v>
      </c>
      <c r="B11" s="16" t="n">
        <v>3.5</v>
      </c>
      <c r="F11" s="10" t="s">
        <v>43</v>
      </c>
    </row>
    <row r="12" customFormat="false" ht="15" hidden="false" customHeight="false" outlineLevel="0" collapsed="false">
      <c r="A12" s="14" t="s">
        <v>44</v>
      </c>
      <c r="B12" s="17" t="n">
        <v>0.085</v>
      </c>
      <c r="F12" s="10" t="s">
        <v>45</v>
      </c>
    </row>
    <row r="13" customFormat="false" ht="15" hidden="false" customHeight="false" outlineLevel="0" collapsed="false">
      <c r="A13" s="14" t="s">
        <v>46</v>
      </c>
      <c r="B13" s="16" t="n">
        <v>1.5</v>
      </c>
      <c r="F13" s="10" t="s">
        <v>47</v>
      </c>
    </row>
    <row r="14" customFormat="false" ht="15" hidden="false" customHeight="false" outlineLevel="0" collapsed="false">
      <c r="A14" s="14" t="s">
        <v>48</v>
      </c>
      <c r="B14" s="17" t="n">
        <v>0.115</v>
      </c>
      <c r="F14" s="10" t="s">
        <v>49</v>
      </c>
    </row>
    <row r="15" customFormat="false" ht="15" hidden="false" customHeight="false" outlineLevel="0" collapsed="false">
      <c r="A15" s="14" t="s">
        <v>50</v>
      </c>
      <c r="B15" s="17" t="n">
        <v>1</v>
      </c>
      <c r="F15" s="10" t="s">
        <v>51</v>
      </c>
    </row>
    <row r="16" customFormat="false" ht="15" hidden="false" customHeight="false" outlineLevel="0" collapsed="false">
      <c r="A16" s="5" t="s">
        <v>52</v>
      </c>
      <c r="B16" s="6"/>
      <c r="C16" s="6"/>
      <c r="D16" s="6"/>
      <c r="E16" s="6"/>
      <c r="F16" s="6"/>
      <c r="G16" s="6"/>
      <c r="H16" s="6"/>
    </row>
    <row r="17" customFormat="false" ht="15" hidden="false" customHeight="false" outlineLevel="0" collapsed="false">
      <c r="A17" s="14" t="s">
        <v>53</v>
      </c>
      <c r="B17" s="15" t="n">
        <v>500</v>
      </c>
      <c r="F17" s="10" t="s">
        <v>54</v>
      </c>
    </row>
    <row r="18" customFormat="false" ht="15" hidden="false" customHeight="false" outlineLevel="0" collapsed="false">
      <c r="A18" s="14" t="s">
        <v>55</v>
      </c>
      <c r="B18" s="17" t="n">
        <v>0.06</v>
      </c>
      <c r="F18" s="10" t="s">
        <v>56</v>
      </c>
    </row>
    <row r="19" customFormat="false" ht="15" hidden="false" customHeight="false" outlineLevel="0" collapsed="false">
      <c r="A19" s="14" t="s">
        <v>57</v>
      </c>
      <c r="B19" s="17" t="n">
        <v>0.2</v>
      </c>
      <c r="F19" s="10" t="s">
        <v>58</v>
      </c>
    </row>
    <row r="20" customFormat="false" ht="15" hidden="false" customHeight="false" outlineLevel="0" collapsed="false">
      <c r="A20" s="14" t="s">
        <v>59</v>
      </c>
      <c r="B20" s="17" t="n">
        <v>0.035</v>
      </c>
      <c r="F20" s="10" t="s">
        <v>60</v>
      </c>
    </row>
    <row r="21" customFormat="false" ht="15" hidden="false" customHeight="false" outlineLevel="0" collapsed="false">
      <c r="A21" s="14" t="s">
        <v>61</v>
      </c>
      <c r="B21" s="17" t="n">
        <v>0.03</v>
      </c>
      <c r="F21" s="10" t="s">
        <v>62</v>
      </c>
    </row>
    <row r="22" customFormat="false" ht="15" hidden="false" customHeight="false" outlineLevel="0" collapsed="false">
      <c r="A22" s="14" t="s">
        <v>63</v>
      </c>
      <c r="B22" s="17" t="n">
        <v>0.1</v>
      </c>
      <c r="F22" s="10" t="s">
        <v>64</v>
      </c>
    </row>
    <row r="23" customFormat="false" ht="15" hidden="false" customHeight="false" outlineLevel="0" collapsed="false">
      <c r="A23" s="14" t="s">
        <v>65</v>
      </c>
      <c r="B23" s="17" t="n">
        <v>0.25</v>
      </c>
      <c r="F23" s="10" t="s">
        <v>66</v>
      </c>
    </row>
    <row r="24" customFormat="false" ht="15" hidden="false" customHeight="false" outlineLevel="0" collapsed="false">
      <c r="A24" s="5" t="s">
        <v>67</v>
      </c>
      <c r="B24" s="6"/>
      <c r="C24" s="6"/>
      <c r="D24" s="6"/>
      <c r="E24" s="6"/>
      <c r="F24" s="6"/>
      <c r="G24" s="6"/>
      <c r="H24" s="6"/>
    </row>
    <row r="25" customFormat="false" ht="15" hidden="false" customHeight="false" outlineLevel="0" collapsed="false">
      <c r="A25" s="14" t="s">
        <v>68</v>
      </c>
      <c r="B25" s="16" t="n">
        <v>9</v>
      </c>
      <c r="F25" s="10" t="s">
        <v>69</v>
      </c>
    </row>
    <row r="26" customFormat="false" ht="15" hidden="false" customHeight="false" outlineLevel="0" collapsed="false">
      <c r="A26" s="14" t="s">
        <v>70</v>
      </c>
      <c r="B26" s="18" t="n">
        <v>5</v>
      </c>
      <c r="F26" s="10" t="s">
        <v>71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6"/>
    <col collapsed="false" customWidth="true" hidden="false" outlineLevel="0" max="8" min="2" style="0" width="13"/>
  </cols>
  <sheetData>
    <row r="1" customFormat="false" ht="15" hidden="false" customHeight="false" outlineLevel="0" collapsed="false">
      <c r="A1" s="1" t="s">
        <v>0</v>
      </c>
    </row>
    <row r="2" customFormat="false" ht="20.9" hidden="false" customHeight="false" outlineLevel="0" collapsed="false">
      <c r="A2" s="2" t="s">
        <v>72</v>
      </c>
    </row>
    <row r="3" customFormat="false" ht="15" hidden="false" customHeight="false" outlineLevel="0" collapsed="false">
      <c r="A3" s="3" t="s">
        <v>73</v>
      </c>
    </row>
    <row r="4" customFormat="false" ht="6" hidden="false" customHeight="true" outlineLevel="0" collapsed="false">
      <c r="A4" s="4"/>
      <c r="B4" s="4"/>
      <c r="C4" s="4"/>
      <c r="D4" s="4"/>
      <c r="E4" s="4"/>
      <c r="F4" s="4"/>
      <c r="G4" s="4"/>
      <c r="H4" s="4"/>
    </row>
    <row r="6" customFormat="false" ht="15" hidden="false" customHeight="false" outlineLevel="0" collapsed="false">
      <c r="A6" s="5" t="s">
        <v>74</v>
      </c>
      <c r="B6" s="6"/>
      <c r="C6" s="6"/>
      <c r="D6" s="6"/>
      <c r="E6" s="6"/>
      <c r="F6" s="6"/>
      <c r="G6" s="6"/>
      <c r="H6" s="6"/>
    </row>
    <row r="7" customFormat="false" ht="15" hidden="false" customHeight="false" outlineLevel="0" collapsed="false">
      <c r="A7" s="14" t="s">
        <v>75</v>
      </c>
      <c r="B7" s="19" t="n">
        <f aca="false">Assumptions!$B$7*Assumptions!$B$8</f>
        <v>900</v>
      </c>
    </row>
    <row r="8" customFormat="false" ht="15" hidden="false" customHeight="false" outlineLevel="0" collapsed="false">
      <c r="A8" s="14" t="s">
        <v>76</v>
      </c>
      <c r="B8" s="20" t="n">
        <f aca="false">B7*Assumptions!$B$9</f>
        <v>18</v>
      </c>
    </row>
    <row r="9" customFormat="false" ht="15" hidden="false" customHeight="false" outlineLevel="0" collapsed="false">
      <c r="A9" s="7" t="s">
        <v>77</v>
      </c>
      <c r="B9" s="19" t="n">
        <f aca="false">B7+B8</f>
        <v>918</v>
      </c>
    </row>
    <row r="11" customFormat="false" ht="15" hidden="false" customHeight="false" outlineLevel="0" collapsed="false">
      <c r="A11" s="14" t="s">
        <v>78</v>
      </c>
      <c r="B11" s="20" t="n">
        <f aca="false">Assumptions!$B$7*Assumptions!$B$11</f>
        <v>350</v>
      </c>
    </row>
    <row r="12" customFormat="false" ht="15" hidden="false" customHeight="false" outlineLevel="0" collapsed="false">
      <c r="A12" s="14" t="s">
        <v>79</v>
      </c>
      <c r="B12" s="20" t="n">
        <f aca="false">Assumptions!$B$7*Assumptions!$B$13</f>
        <v>150</v>
      </c>
    </row>
    <row r="13" customFormat="false" ht="15" hidden="false" customHeight="false" outlineLevel="0" collapsed="false">
      <c r="A13" s="7" t="s">
        <v>80</v>
      </c>
      <c r="B13" s="19" t="n">
        <f aca="false">B9-B11-B12</f>
        <v>418</v>
      </c>
    </row>
    <row r="14" customFormat="false" ht="15" hidden="false" customHeight="false" outlineLevel="0" collapsed="false">
      <c r="A14" s="14" t="s">
        <v>81</v>
      </c>
      <c r="B14" s="20" t="n">
        <f aca="false">B11+B12+B13</f>
        <v>918</v>
      </c>
    </row>
    <row r="15" customFormat="false" ht="15" hidden="false" customHeight="false" outlineLevel="0" collapsed="false">
      <c r="A15" s="14" t="s">
        <v>82</v>
      </c>
      <c r="B15" s="20" t="n">
        <f aca="false">B14-B9</f>
        <v>0</v>
      </c>
      <c r="C15" s="10" t="s">
        <v>83</v>
      </c>
    </row>
    <row r="17" customFormat="false" ht="15" hidden="false" customHeight="false" outlineLevel="0" collapsed="false">
      <c r="A17" s="5" t="s">
        <v>52</v>
      </c>
      <c r="B17" s="6"/>
      <c r="C17" s="6"/>
      <c r="D17" s="6"/>
      <c r="E17" s="6"/>
      <c r="F17" s="6"/>
      <c r="G17" s="6"/>
      <c r="H17" s="6"/>
    </row>
    <row r="18" customFormat="false" ht="25.5" hidden="false" customHeight="true" outlineLevel="0" collapsed="false">
      <c r="A18" s="21" t="s">
        <v>84</v>
      </c>
      <c r="B18" s="21" t="s">
        <v>85</v>
      </c>
      <c r="C18" s="21" t="s">
        <v>86</v>
      </c>
      <c r="D18" s="21" t="s">
        <v>87</v>
      </c>
      <c r="E18" s="21" t="s">
        <v>88</v>
      </c>
      <c r="F18" s="21" t="s">
        <v>89</v>
      </c>
    </row>
    <row r="19" customFormat="false" ht="15" hidden="false" customHeight="false" outlineLevel="0" collapsed="false">
      <c r="A19" s="14" t="s">
        <v>90</v>
      </c>
      <c r="B19" s="20" t="n">
        <f aca="false">Assumptions!$B$17*(1+Assumptions!$B$18)^1</f>
        <v>530</v>
      </c>
      <c r="C19" s="20" t="n">
        <f aca="false">Assumptions!$B$17*(1+Assumptions!$B$18)^2</f>
        <v>561.8</v>
      </c>
      <c r="D19" s="20" t="n">
        <f aca="false">Assumptions!$B$17*(1+Assumptions!$B$18)^3</f>
        <v>595.508</v>
      </c>
      <c r="E19" s="20" t="n">
        <f aca="false">Assumptions!$B$17*(1+Assumptions!$B$18)^4</f>
        <v>631.23848</v>
      </c>
      <c r="F19" s="20" t="n">
        <f aca="false">Assumptions!$B$17*(1+Assumptions!$B$18)^5</f>
        <v>669.1127888</v>
      </c>
    </row>
    <row r="20" customFormat="false" ht="15" hidden="false" customHeight="false" outlineLevel="0" collapsed="false">
      <c r="A20" s="7" t="s">
        <v>91</v>
      </c>
      <c r="B20" s="19" t="n">
        <f aca="false">B19*Assumptions!$B$19</f>
        <v>106</v>
      </c>
      <c r="C20" s="19" t="n">
        <f aca="false">C19*Assumptions!$B$19</f>
        <v>112.36</v>
      </c>
      <c r="D20" s="19" t="n">
        <f aca="false">D19*Assumptions!$B$19</f>
        <v>119.1016</v>
      </c>
      <c r="E20" s="19" t="n">
        <f aca="false">E19*Assumptions!$B$19</f>
        <v>126.247696</v>
      </c>
      <c r="F20" s="19" t="n">
        <f aca="false">F19*Assumptions!$B$19</f>
        <v>133.82255776</v>
      </c>
    </row>
    <row r="21" customFormat="false" ht="15" hidden="false" customHeight="false" outlineLevel="0" collapsed="false">
      <c r="A21" s="22" t="s">
        <v>92</v>
      </c>
      <c r="B21" s="20" t="n">
        <f aca="false">-B19*Assumptions!$B$20</f>
        <v>-18.55</v>
      </c>
      <c r="C21" s="20" t="n">
        <f aca="false">-C19*Assumptions!$B$20</f>
        <v>-19.663</v>
      </c>
      <c r="D21" s="20" t="n">
        <f aca="false">-D19*Assumptions!$B$20</f>
        <v>-20.84278</v>
      </c>
      <c r="E21" s="20" t="n">
        <f aca="false">-E19*Assumptions!$B$20</f>
        <v>-22.0933468</v>
      </c>
      <c r="F21" s="20" t="n">
        <f aca="false">-F19*Assumptions!$B$20</f>
        <v>-23.418947608</v>
      </c>
    </row>
    <row r="22" customFormat="false" ht="15" hidden="false" customHeight="false" outlineLevel="0" collapsed="false">
      <c r="A22" s="14" t="s">
        <v>93</v>
      </c>
      <c r="B22" s="20" t="n">
        <f aca="false">B20+B21</f>
        <v>87.45</v>
      </c>
      <c r="C22" s="20" t="n">
        <f aca="false">C20+C21</f>
        <v>92.697</v>
      </c>
      <c r="D22" s="20" t="n">
        <f aca="false">D20+D21</f>
        <v>98.25882</v>
      </c>
      <c r="E22" s="20" t="n">
        <f aca="false">E20+E21</f>
        <v>104.1543492</v>
      </c>
      <c r="F22" s="20" t="n">
        <f aca="false">F20+F21</f>
        <v>110.403610152</v>
      </c>
    </row>
    <row r="24" customFormat="false" ht="15" hidden="false" customHeight="false" outlineLevel="0" collapsed="false">
      <c r="A24" s="5" t="s">
        <v>94</v>
      </c>
      <c r="B24" s="6"/>
      <c r="C24" s="6"/>
      <c r="D24" s="6"/>
      <c r="E24" s="6"/>
      <c r="F24" s="6"/>
      <c r="G24" s="6"/>
      <c r="H24" s="6"/>
    </row>
    <row r="25" customFormat="false" ht="15" hidden="false" customHeight="false" outlineLevel="0" collapsed="false">
      <c r="A25" s="14" t="s">
        <v>95</v>
      </c>
      <c r="B25" s="20" t="n">
        <f aca="false">$B$11</f>
        <v>350</v>
      </c>
      <c r="C25" s="20" t="n">
        <f aca="false">B38</f>
        <v>320.0125</v>
      </c>
      <c r="D25" s="20" t="n">
        <f aca="false">C38</f>
        <v>284.199046875</v>
      </c>
      <c r="E25" s="20" t="n">
        <f aca="false">D38</f>
        <v>241.953381113281</v>
      </c>
      <c r="F25" s="20" t="n">
        <f aca="false">E38</f>
        <v>192.616502859253</v>
      </c>
    </row>
    <row r="26" customFormat="false" ht="15" hidden="false" customHeight="false" outlineLevel="0" collapsed="false">
      <c r="A26" s="14" t="s">
        <v>96</v>
      </c>
      <c r="B26" s="20" t="n">
        <f aca="false">$B$12</f>
        <v>150</v>
      </c>
      <c r="C26" s="20" t="n">
        <f aca="false">$B$12</f>
        <v>150</v>
      </c>
      <c r="D26" s="20" t="n">
        <f aca="false">$B$12</f>
        <v>150</v>
      </c>
      <c r="E26" s="20" t="n">
        <f aca="false">$B$12</f>
        <v>150</v>
      </c>
      <c r="F26" s="20" t="n">
        <f aca="false">$B$12</f>
        <v>150</v>
      </c>
    </row>
    <row r="27" customFormat="false" ht="15" hidden="false" customHeight="false" outlineLevel="0" collapsed="false">
      <c r="A27" s="22" t="s">
        <v>97</v>
      </c>
      <c r="B27" s="20" t="n">
        <f aca="false">-(B25*Assumptions!$B$12+B26*Assumptions!$B$14)</f>
        <v>-47</v>
      </c>
      <c r="C27" s="20" t="n">
        <f aca="false">-(C25*Assumptions!$B$12+C26*Assumptions!$B$14)</f>
        <v>-44.4510625</v>
      </c>
      <c r="D27" s="20" t="n">
        <f aca="false">-(D25*Assumptions!$B$12+D26*Assumptions!$B$14)</f>
        <v>-41.406918984375</v>
      </c>
      <c r="E27" s="20" t="n">
        <f aca="false">-(E25*Assumptions!$B$12+E26*Assumptions!$B$14)</f>
        <v>-37.8160373946289</v>
      </c>
      <c r="F27" s="20" t="n">
        <f aca="false">-(F25*Assumptions!$B$12+F26*Assumptions!$B$14)</f>
        <v>-33.6224027430365</v>
      </c>
    </row>
    <row r="28" customFormat="false" ht="15" hidden="false" customHeight="false" outlineLevel="0" collapsed="false">
      <c r="A28" s="14" t="s">
        <v>98</v>
      </c>
      <c r="B28" s="20" t="n">
        <f aca="false">B22+B27</f>
        <v>40.45</v>
      </c>
      <c r="C28" s="20" t="n">
        <f aca="false">C22+C27</f>
        <v>48.2459375</v>
      </c>
      <c r="D28" s="20" t="n">
        <f aca="false">D22+D27</f>
        <v>56.851901015625</v>
      </c>
      <c r="E28" s="20" t="n">
        <f aca="false">E22+E27</f>
        <v>66.3383118053711</v>
      </c>
      <c r="F28" s="20" t="n">
        <f aca="false">F22+F27</f>
        <v>76.7812074089635</v>
      </c>
    </row>
    <row r="29" customFormat="false" ht="15" hidden="false" customHeight="false" outlineLevel="0" collapsed="false">
      <c r="A29" s="22" t="s">
        <v>99</v>
      </c>
      <c r="B29" s="20" t="n">
        <f aca="false">-MAX(0,B28)*Assumptions!$B$23</f>
        <v>-10.1125</v>
      </c>
      <c r="C29" s="20" t="n">
        <f aca="false">-MAX(0,C28)*Assumptions!$B$23</f>
        <v>-12.061484375</v>
      </c>
      <c r="D29" s="20" t="n">
        <f aca="false">-MAX(0,D28)*Assumptions!$B$23</f>
        <v>-14.2129752539063</v>
      </c>
      <c r="E29" s="20" t="n">
        <f aca="false">-MAX(0,E28)*Assumptions!$B$23</f>
        <v>-16.5845779513428</v>
      </c>
      <c r="F29" s="20" t="n">
        <f aca="false">-MAX(0,F28)*Assumptions!$B$23</f>
        <v>-19.1953018522409</v>
      </c>
    </row>
    <row r="30" customFormat="false" ht="15" hidden="false" customHeight="false" outlineLevel="0" collapsed="false">
      <c r="A30" s="14" t="s">
        <v>100</v>
      </c>
      <c r="B30" s="20" t="n">
        <f aca="false">B28+B29</f>
        <v>30.3375</v>
      </c>
      <c r="C30" s="20" t="n">
        <f aca="false">C28+C29</f>
        <v>36.184453125</v>
      </c>
      <c r="D30" s="20" t="n">
        <f aca="false">D28+D29</f>
        <v>42.6389257617188</v>
      </c>
      <c r="E30" s="20" t="n">
        <f aca="false">E28+E29</f>
        <v>49.7537338540284</v>
      </c>
      <c r="F30" s="20" t="n">
        <f aca="false">F28+F29</f>
        <v>57.5859055567226</v>
      </c>
    </row>
    <row r="32" customFormat="false" ht="15" hidden="false" customHeight="false" outlineLevel="0" collapsed="false">
      <c r="A32" s="5" t="s">
        <v>101</v>
      </c>
      <c r="B32" s="6"/>
      <c r="C32" s="6"/>
      <c r="D32" s="6"/>
      <c r="E32" s="6"/>
      <c r="F32" s="6"/>
      <c r="G32" s="6"/>
      <c r="H32" s="6"/>
    </row>
    <row r="33" customFormat="false" ht="15" hidden="false" customHeight="false" outlineLevel="0" collapsed="false">
      <c r="A33" s="22" t="s">
        <v>102</v>
      </c>
      <c r="B33" s="20" t="n">
        <f aca="false">-B21</f>
        <v>18.55</v>
      </c>
      <c r="C33" s="20" t="n">
        <f aca="false">-C21</f>
        <v>19.663</v>
      </c>
      <c r="D33" s="20" t="n">
        <f aca="false">-D21</f>
        <v>20.84278</v>
      </c>
      <c r="E33" s="20" t="n">
        <f aca="false">-E21</f>
        <v>22.0933468</v>
      </c>
      <c r="F33" s="20" t="n">
        <f aca="false">-F21</f>
        <v>23.418947608</v>
      </c>
    </row>
    <row r="34" customFormat="false" ht="15" hidden="false" customHeight="false" outlineLevel="0" collapsed="false">
      <c r="A34" s="22" t="s">
        <v>103</v>
      </c>
      <c r="B34" s="20" t="n">
        <f aca="false">-B19*Assumptions!$B$21</f>
        <v>-15.9</v>
      </c>
      <c r="C34" s="20" t="n">
        <f aca="false">-C19*Assumptions!$B$21</f>
        <v>-16.854</v>
      </c>
      <c r="D34" s="20" t="n">
        <f aca="false">-D19*Assumptions!$B$21</f>
        <v>-17.86524</v>
      </c>
      <c r="E34" s="20" t="n">
        <f aca="false">-E19*Assumptions!$B$21</f>
        <v>-18.9371544</v>
      </c>
      <c r="F34" s="20" t="n">
        <f aca="false">-F19*Assumptions!$B$21</f>
        <v>-20.073383664</v>
      </c>
    </row>
    <row r="35" customFormat="false" ht="15" hidden="false" customHeight="false" outlineLevel="0" collapsed="false">
      <c r="A35" s="22" t="s">
        <v>104</v>
      </c>
      <c r="B35" s="20" t="n">
        <f aca="false">-(B19-Assumptions!$B$17)*Assumptions!$B$22</f>
        <v>-3</v>
      </c>
      <c r="C35" s="20" t="n">
        <f aca="false">-(C19-B19)*Assumptions!$B$22</f>
        <v>-3.18000000000001</v>
      </c>
      <c r="D35" s="20" t="n">
        <f aca="false">-(D19-C19)*Assumptions!$B$22</f>
        <v>-3.3708</v>
      </c>
      <c r="E35" s="20" t="n">
        <f aca="false">-(E19-D19)*Assumptions!$B$22</f>
        <v>-3.57304800000002</v>
      </c>
      <c r="F35" s="20" t="n">
        <f aca="false">-(F19-E19)*Assumptions!$B$22</f>
        <v>-3.78743087999999</v>
      </c>
    </row>
    <row r="36" customFormat="false" ht="15" hidden="false" customHeight="false" outlineLevel="0" collapsed="false">
      <c r="A36" s="7" t="s">
        <v>105</v>
      </c>
      <c r="B36" s="19" t="n">
        <f aca="false">B30+B33+B34+B35</f>
        <v>29.9875</v>
      </c>
      <c r="C36" s="19" t="n">
        <f aca="false">C30+C33+C34+C35</f>
        <v>35.813453125</v>
      </c>
      <c r="D36" s="19" t="n">
        <f aca="false">D30+D33+D34+D35</f>
        <v>42.2456657617188</v>
      </c>
      <c r="E36" s="19" t="n">
        <f aca="false">E30+E33+E34+E35</f>
        <v>49.3368782540283</v>
      </c>
      <c r="F36" s="19" t="n">
        <f aca="false">F30+F33+F34+F35</f>
        <v>57.1440386207227</v>
      </c>
    </row>
    <row r="37" customFormat="false" ht="15" hidden="false" customHeight="false" outlineLevel="0" collapsed="false">
      <c r="A37" s="22" t="s">
        <v>106</v>
      </c>
      <c r="B37" s="20" t="n">
        <f aca="false">-MIN(B25,MAX(0,B36*Assumptions!$B$15))</f>
        <v>-29.9875</v>
      </c>
      <c r="C37" s="20" t="n">
        <f aca="false">-MIN(C25,MAX(0,C36*Assumptions!$B$15))</f>
        <v>-35.813453125</v>
      </c>
      <c r="D37" s="20" t="n">
        <f aca="false">-MIN(D25,MAX(0,D36*Assumptions!$B$15))</f>
        <v>-42.2456657617188</v>
      </c>
      <c r="E37" s="20" t="n">
        <f aca="false">-MIN(E25,MAX(0,E36*Assumptions!$B$15))</f>
        <v>-49.3368782540283</v>
      </c>
      <c r="F37" s="20" t="n">
        <f aca="false">-MIN(F25,MAX(0,F36*Assumptions!$B$15))</f>
        <v>-57.1440386207227</v>
      </c>
    </row>
    <row r="38" customFormat="false" ht="15" hidden="false" customHeight="false" outlineLevel="0" collapsed="false">
      <c r="A38" s="7" t="s">
        <v>107</v>
      </c>
      <c r="B38" s="19" t="n">
        <f aca="false">B25+B37</f>
        <v>320.0125</v>
      </c>
      <c r="C38" s="19" t="n">
        <f aca="false">C25+C37</f>
        <v>284.199046875</v>
      </c>
      <c r="D38" s="19" t="n">
        <f aca="false">D25+D37</f>
        <v>241.953381113281</v>
      </c>
      <c r="E38" s="19" t="n">
        <f aca="false">E25+E37</f>
        <v>192.616502859253</v>
      </c>
      <c r="F38" s="19" t="n">
        <f aca="false">F25+F37</f>
        <v>135.47246423853</v>
      </c>
    </row>
    <row r="39" customFormat="false" ht="15" hidden="false" customHeight="false" outlineLevel="0" collapsed="false">
      <c r="A39" s="14" t="s">
        <v>108</v>
      </c>
      <c r="B39" s="20" t="n">
        <f aca="false">B38+B26</f>
        <v>470.0125</v>
      </c>
      <c r="C39" s="20" t="n">
        <f aca="false">C38+C26</f>
        <v>434.199046875</v>
      </c>
      <c r="D39" s="20" t="n">
        <f aca="false">D38+D26</f>
        <v>391.953381113281</v>
      </c>
      <c r="E39" s="20" t="n">
        <f aca="false">E38+E26</f>
        <v>342.616502859253</v>
      </c>
      <c r="F39" s="20" t="n">
        <f aca="false">F38+F26</f>
        <v>285.47246423853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6"/>
    <col collapsed="false" customWidth="true" hidden="false" outlineLevel="0" max="6" min="2" style="0" width="14"/>
    <col collapsed="false" customWidth="true" hidden="false" outlineLevel="0" max="7" min="7" style="0" width="40"/>
  </cols>
  <sheetData>
    <row r="1" customFormat="false" ht="15" hidden="false" customHeight="false" outlineLevel="0" collapsed="false">
      <c r="A1" s="1" t="s">
        <v>0</v>
      </c>
    </row>
    <row r="2" customFormat="false" ht="20.9" hidden="false" customHeight="false" outlineLevel="0" collapsed="false">
      <c r="A2" s="2" t="s">
        <v>109</v>
      </c>
    </row>
    <row r="3" customFormat="false" ht="15" hidden="false" customHeight="false" outlineLevel="0" collapsed="false">
      <c r="A3" s="3" t="s">
        <v>110</v>
      </c>
    </row>
    <row r="4" customFormat="false" ht="6" hidden="false" customHeight="true" outlineLevel="0" collapsed="false">
      <c r="A4" s="4"/>
      <c r="B4" s="4"/>
      <c r="C4" s="4"/>
      <c r="D4" s="4"/>
      <c r="E4" s="4"/>
      <c r="F4" s="4"/>
      <c r="G4" s="4"/>
      <c r="H4" s="4"/>
    </row>
    <row r="6" customFormat="false" ht="15" hidden="false" customHeight="false" outlineLevel="0" collapsed="false">
      <c r="A6" s="5" t="s">
        <v>111</v>
      </c>
      <c r="B6" s="6"/>
      <c r="C6" s="6"/>
      <c r="D6" s="6"/>
      <c r="E6" s="6"/>
      <c r="F6" s="6"/>
      <c r="G6" s="6"/>
      <c r="H6" s="6"/>
    </row>
    <row r="7" customFormat="false" ht="15" hidden="false" customHeight="false" outlineLevel="0" collapsed="false">
      <c r="A7" s="14" t="s">
        <v>112</v>
      </c>
      <c r="B7" s="20" t="n">
        <f aca="false">INDEX('LBO Model'!$B$20:$F$20,Assumptions!$B$26)</f>
        <v>133.82255776</v>
      </c>
    </row>
    <row r="8" customFormat="false" ht="15" hidden="false" customHeight="false" outlineLevel="0" collapsed="false">
      <c r="A8" s="14" t="s">
        <v>113</v>
      </c>
      <c r="B8" s="20" t="n">
        <f aca="false">B7*Assumptions!$B$25</f>
        <v>1204.40301984</v>
      </c>
    </row>
    <row r="9" customFormat="false" ht="15" hidden="false" customHeight="false" outlineLevel="0" collapsed="false">
      <c r="A9" s="14" t="s">
        <v>114</v>
      </c>
      <c r="B9" s="20" t="n">
        <f aca="false">-INDEX('LBO Model'!$B$39:$F$39,Assumptions!$B$26)</f>
        <v>-285.47246423853</v>
      </c>
    </row>
    <row r="10" customFormat="false" ht="15" hidden="false" customHeight="false" outlineLevel="0" collapsed="false">
      <c r="A10" s="7" t="s">
        <v>115</v>
      </c>
      <c r="B10" s="19" t="n">
        <f aca="false">B8+B9</f>
        <v>918.93055560147</v>
      </c>
    </row>
    <row r="11" customFormat="false" ht="15" hidden="false" customHeight="false" outlineLevel="0" collapsed="false">
      <c r="A11" s="14" t="s">
        <v>116</v>
      </c>
      <c r="B11" s="20" t="n">
        <f aca="false">'LBO Model'!$B$13</f>
        <v>418</v>
      </c>
    </row>
    <row r="12" customFormat="false" ht="15" hidden="false" customHeight="false" outlineLevel="0" collapsed="false">
      <c r="A12" s="7" t="s">
        <v>117</v>
      </c>
      <c r="B12" s="23" t="n">
        <f aca="false">IFERROR(B10/B11,NA())</f>
        <v>2.19839845837672</v>
      </c>
    </row>
    <row r="13" customFormat="false" ht="15" hidden="false" customHeight="false" outlineLevel="0" collapsed="false">
      <c r="A13" s="7" t="s">
        <v>118</v>
      </c>
      <c r="B13" s="24" t="n">
        <f aca="false">IFERROR((B10/B11)^(1/Assumptions!$B$26)-1,NA())</f>
        <v>0.170634400324294</v>
      </c>
      <c r="G13" s="10" t="s">
        <v>119</v>
      </c>
    </row>
    <row r="15" customFormat="false" ht="15" hidden="false" customHeight="false" outlineLevel="0" collapsed="false">
      <c r="A15" s="5" t="s">
        <v>120</v>
      </c>
      <c r="B15" s="6"/>
      <c r="C15" s="6"/>
      <c r="D15" s="6"/>
      <c r="E15" s="6"/>
      <c r="F15" s="6"/>
      <c r="G15" s="6"/>
      <c r="H15" s="6"/>
    </row>
    <row r="16" customFormat="false" ht="15" hidden="false" customHeight="false" outlineLevel="0" collapsed="false">
      <c r="A16" s="10" t="s">
        <v>121</v>
      </c>
    </row>
    <row r="18" customFormat="false" ht="15" hidden="false" customHeight="false" outlineLevel="0" collapsed="false">
      <c r="A18" s="7" t="s">
        <v>122</v>
      </c>
      <c r="B18" s="18" t="n">
        <v>2</v>
      </c>
      <c r="C18" s="18" t="n">
        <v>3</v>
      </c>
      <c r="D18" s="18" t="n">
        <v>4</v>
      </c>
      <c r="E18" s="18" t="n">
        <v>5</v>
      </c>
    </row>
    <row r="19" customFormat="false" ht="15" hidden="false" customHeight="false" outlineLevel="0" collapsed="false">
      <c r="A19" s="16" t="n">
        <v>7</v>
      </c>
      <c r="B19" s="25" t="n">
        <f aca="false">IFERROR(((INDEX('LBO Model'!$B$20:$F$20,B$18)*$A19-INDEX('LBO Model'!$B$39:$F$39,B$18))/'LBO Model'!$B$13)^(1/B$18)-1,NA())</f>
        <v>-0.0819187979266329</v>
      </c>
      <c r="C19" s="25" t="n">
        <f aca="false">IFERROR(((INDEX('LBO Model'!$B$20:$F$20,C$18)*$A19-INDEX('LBO Model'!$B$39:$F$39,C$18))/'LBO Model'!$B$13)^(1/C$18)-1,NA())</f>
        <v>0.0185976137331467</v>
      </c>
      <c r="D19" s="25" t="n">
        <f aca="false">IFERROR(((INDEX('LBO Model'!$B$20:$F$20,D$18)*$A19-INDEX('LBO Model'!$B$39:$F$39,D$18))/'LBO Model'!$B$13)^(1/D$18)-1,NA())</f>
        <v>0.0666668497988614</v>
      </c>
      <c r="E19" s="25" t="n">
        <f aca="false">IFERROR(((INDEX('LBO Model'!$B$20:$F$20,E$18)*$A19-INDEX('LBO Model'!$B$39:$F$39,E$18))/'LBO Model'!$B$13)^(1/E$18)-1,NA())</f>
        <v>0.0927454768563705</v>
      </c>
    </row>
    <row r="20" customFormat="false" ht="15" hidden="false" customHeight="false" outlineLevel="0" collapsed="false">
      <c r="A20" s="16" t="n">
        <v>8</v>
      </c>
      <c r="B20" s="25" t="n">
        <f aca="false">IFERROR(((INDEX('LBO Model'!$B$20:$F$20,B$18)*$A20-INDEX('LBO Model'!$B$39:$F$39,B$18))/'LBO Model'!$B$13)^(1/B$18)-1,NA())</f>
        <v>0.0543609065930293</v>
      </c>
      <c r="C20" s="25" t="n">
        <f aca="false">IFERROR(((INDEX('LBO Model'!$B$20:$F$20,C$18)*$A20-INDEX('LBO Model'!$B$39:$F$39,C$18))/'LBO Model'!$B$13)^(1/C$18)-1,NA())</f>
        <v>0.102958686276708</v>
      </c>
      <c r="D20" s="25" t="n">
        <f aca="false">IFERROR(((INDEX('LBO Model'!$B$20:$F$20,D$18)*$A20-INDEX('LBO Model'!$B$39:$F$39,D$18))/'LBO Model'!$B$13)^(1/D$18)-1,NA())</f>
        <v>0.124078902462593</v>
      </c>
      <c r="E20" s="25" t="n">
        <f aca="false">IFERROR(((INDEX('LBO Model'!$B$20:$F$20,E$18)*$A20-INDEX('LBO Model'!$B$39:$F$39,E$18))/'LBO Model'!$B$13)^(1/E$18)-1,NA())</f>
        <v>0.134359268666355</v>
      </c>
    </row>
    <row r="21" customFormat="false" ht="15" hidden="false" customHeight="false" outlineLevel="0" collapsed="false">
      <c r="A21" s="16" t="n">
        <v>9</v>
      </c>
      <c r="B21" s="25" t="n">
        <f aca="false">IFERROR(((INDEX('LBO Model'!$B$20:$F$20,B$18)*$A21-INDEX('LBO Model'!$B$39:$F$39,B$18))/'LBO Model'!$B$13)^(1/B$18)-1,NA())</f>
        <v>0.174938615036067</v>
      </c>
      <c r="C21" s="25" t="n">
        <f aca="false">IFERROR(((INDEX('LBO Model'!$B$20:$F$20,C$18)*$A21-INDEX('LBO Model'!$B$39:$F$39,C$18))/'LBO Model'!$B$13)^(1/C$18)-1,NA())</f>
        <v>0.176077418787506</v>
      </c>
      <c r="D21" s="25" t="n">
        <f aca="false">IFERROR(((INDEX('LBO Model'!$B$20:$F$20,D$18)*$A21-INDEX('LBO Model'!$B$39:$F$39,D$18))/'LBO Model'!$B$13)^(1/D$18)-1,NA())</f>
        <v>0.173837798968367</v>
      </c>
      <c r="E21" s="25" t="n">
        <f aca="false">IFERROR(((INDEX('LBO Model'!$B$20:$F$20,E$18)*$A21-INDEX('LBO Model'!$B$39:$F$39,E$18))/'LBO Model'!$B$13)^(1/E$18)-1,NA())</f>
        <v>0.170634400324294</v>
      </c>
    </row>
    <row r="22" customFormat="false" ht="15" hidden="false" customHeight="false" outlineLevel="0" collapsed="false">
      <c r="A22" s="16" t="n">
        <v>10</v>
      </c>
      <c r="B22" s="25" t="n">
        <f aca="false">IFERROR(((INDEX('LBO Model'!$B$20:$F$20,B$18)*$A22-INDEX('LBO Model'!$B$39:$F$39,B$18))/'LBO Model'!$B$13)^(1/B$18)-1,NA())</f>
        <v>0.284244749591785</v>
      </c>
      <c r="C22" s="25" t="n">
        <f aca="false">IFERROR(((INDEX('LBO Model'!$B$20:$F$20,C$18)*$A22-INDEX('LBO Model'!$B$39:$F$39,C$18))/'LBO Model'!$B$13)^(1/C$18)-1,NA())</f>
        <v>0.241084954766868</v>
      </c>
      <c r="D22" s="25" t="n">
        <f aca="false">IFERROR(((INDEX('LBO Model'!$B$20:$F$20,D$18)*$A22-INDEX('LBO Model'!$B$39:$F$39,D$18))/'LBO Model'!$B$13)^(1/D$18)-1,NA())</f>
        <v>0.217969511357627</v>
      </c>
      <c r="E22" s="25" t="n">
        <f aca="false">IFERROR(((INDEX('LBO Model'!$B$20:$F$20,E$18)*$A22-INDEX('LBO Model'!$B$39:$F$39,E$18))/'LBO Model'!$B$13)^(1/E$18)-1,NA())</f>
        <v>0.202901455939112</v>
      </c>
    </row>
    <row r="23" customFormat="false" ht="15" hidden="false" customHeight="false" outlineLevel="0" collapsed="false">
      <c r="A23" s="16" t="n">
        <v>11</v>
      </c>
      <c r="B23" s="25" t="n">
        <f aca="false">IFERROR(((INDEX('LBO Model'!$B$20:$F$20,B$18)*$A23-INDEX('LBO Model'!$B$39:$F$39,B$18))/'LBO Model'!$B$13)^(1/B$18)-1,NA())</f>
        <v>0.384950686705221</v>
      </c>
      <c r="C23" s="25" t="n">
        <f aca="false">IFERROR(((INDEX('LBO Model'!$B$20:$F$20,C$18)*$A23-INDEX('LBO Model'!$B$39:$F$39,C$18))/'LBO Model'!$B$13)^(1/C$18)-1,NA())</f>
        <v>0.299914218591035</v>
      </c>
      <c r="D23" s="25" t="n">
        <f aca="false">IFERROR(((INDEX('LBO Model'!$B$20:$F$20,D$18)*$A23-INDEX('LBO Model'!$B$39:$F$39,D$18))/'LBO Model'!$B$13)^(1/D$18)-1,NA())</f>
        <v>0.257766653374889</v>
      </c>
      <c r="E23" s="25" t="n">
        <f aca="false">IFERROR(((INDEX('LBO Model'!$B$20:$F$20,E$18)*$A23-INDEX('LBO Model'!$B$39:$F$39,E$18))/'LBO Model'!$B$13)^(1/E$18)-1,NA())</f>
        <v>0.232037229758742</v>
      </c>
    </row>
    <row r="25" customFormat="false" ht="15" hidden="false" customHeight="false" outlineLevel="0" collapsed="false">
      <c r="A25" s="10" t="s">
        <v>123</v>
      </c>
    </row>
    <row r="26" customFormat="false" ht="15" hidden="false" customHeight="false" outlineLevel="0" collapsed="false">
      <c r="A26" s="10" t="s">
        <v>124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2026-07-31T21:37:08Z</dcterms:created>
  <dc:creator>openpyxl</dc:creator>
  <dc:description/>
  <dc:language>en-US</dc:language>
  <cp:lastModifiedBy/>
  <dcterms:modified xsi:type="dcterms:W3CDTF">2026-07-31T21:37:08Z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